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ndazioneminoprio-my.sharepoint.com/personal/alberto_fondazioneminoprio_it/Documents/Sperimentazione/CARBOGAIN/@Risultati/Economia/"/>
    </mc:Choice>
  </mc:AlternateContent>
  <xr:revisionPtr revIDLastSave="73" documentId="8_{CF401736-B425-4FD8-AE9F-58D3385FC199}" xr6:coauthVersionLast="47" xr6:coauthVersionMax="47" xr10:uidLastSave="{F8C02173-B41B-4132-A352-75AF35DB22BD}"/>
  <bookViews>
    <workbookView xWindow="-120" yWindow="-120" windowWidth="29040" windowHeight="15720" tabRatio="658" xr2:uid="{00000000-000D-0000-FFFF-FFFF00000000}"/>
  </bookViews>
  <sheets>
    <sheet name="Prospetto" sheetId="18" r:id="rId1"/>
    <sheet name="Capital Exp" sheetId="19" state="hidden" r:id="rId2"/>
    <sheet name="VAN 1" sheetId="5" state="hidden" r:id="rId3"/>
    <sheet name="Foglio1" sheetId="23" state="hidden" r:id="rId4"/>
    <sheet name="Operation Exp" sheetId="17" state="hidden" r:id="rId5"/>
    <sheet name="Ranges" sheetId="20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9" l="1"/>
  <c r="D8" i="19"/>
  <c r="C8" i="19"/>
  <c r="B8" i="19"/>
  <c r="E7" i="18"/>
  <c r="E14" i="18" s="1"/>
  <c r="C7" i="19"/>
  <c r="D7" i="19"/>
  <c r="E8" i="18"/>
  <c r="D6" i="18"/>
  <c r="D6" i="5" s="1"/>
  <c r="D5" i="5"/>
  <c r="F5" i="5"/>
  <c r="G5" i="5"/>
  <c r="H5" i="5"/>
  <c r="I5" i="5"/>
  <c r="J5" i="5"/>
  <c r="K5" i="5"/>
  <c r="L5" i="5"/>
  <c r="M5" i="5"/>
  <c r="N5" i="5"/>
  <c r="O5" i="5"/>
  <c r="P5" i="5"/>
  <c r="Q5" i="5"/>
  <c r="R5" i="5"/>
  <c r="E5" i="5"/>
  <c r="E23" i="18" l="1"/>
  <c r="E24" i="18" s="1"/>
  <c r="E15" i="18"/>
  <c r="E16" i="18" s="1"/>
  <c r="C21" i="17"/>
  <c r="B21" i="17"/>
  <c r="E11" i="18"/>
  <c r="E12" i="18" s="1"/>
  <c r="E17" i="18" l="1"/>
  <c r="E18" i="18" s="1"/>
  <c r="D7" i="5" l="1"/>
  <c r="D8" i="5" s="1"/>
  <c r="E8" i="5"/>
  <c r="E9" i="5" s="1"/>
  <c r="F8" i="5"/>
  <c r="F9" i="5" s="1"/>
  <c r="G8" i="5"/>
  <c r="H8" i="5"/>
  <c r="I8" i="5"/>
  <c r="I9" i="5" s="1"/>
  <c r="J8" i="5"/>
  <c r="K8" i="5"/>
  <c r="L8" i="5"/>
  <c r="M8" i="5"/>
  <c r="M9" i="5" s="1"/>
  <c r="N8" i="5"/>
  <c r="O8" i="5"/>
  <c r="P8" i="5"/>
  <c r="Q8" i="5"/>
  <c r="Q9" i="5" s="1"/>
  <c r="R8" i="5"/>
  <c r="D9" i="5" l="1"/>
  <c r="H10" i="5" s="1"/>
  <c r="P9" i="5"/>
  <c r="L9" i="5"/>
  <c r="H9" i="5"/>
  <c r="O9" i="5"/>
  <c r="K9" i="5"/>
  <c r="G9" i="5"/>
  <c r="R9" i="5"/>
  <c r="N9" i="5"/>
  <c r="J9" i="5"/>
  <c r="H11" i="5" l="1"/>
</calcChain>
</file>

<file path=xl/sharedStrings.xml><?xml version="1.0" encoding="utf-8"?>
<sst xmlns="http://schemas.openxmlformats.org/spreadsheetml/2006/main" count="104" uniqueCount="85">
  <si>
    <t>Anni</t>
  </si>
  <si>
    <t>Investimenti totali</t>
  </si>
  <si>
    <t>Totale entrate</t>
  </si>
  <si>
    <t>Totale uscite</t>
  </si>
  <si>
    <t>Totale costi di esercizio</t>
  </si>
  <si>
    <t>Flusso di cassa netto</t>
  </si>
  <si>
    <t>Tasso di rendimento interno finanziario (TRIF/C) dell'investimento</t>
  </si>
  <si>
    <t xml:space="preserve"> Valore attuale netto finanziario (VANF/C) dell'investimento (r=5%)</t>
  </si>
  <si>
    <t>Ricavi di vendita</t>
  </si>
  <si>
    <t>Unit</t>
  </si>
  <si>
    <t>€/h</t>
  </si>
  <si>
    <t>Transporto dal campo al magazzino</t>
  </si>
  <si>
    <t>€/km</t>
  </si>
  <si>
    <t>Pyrolisis Plant operational costs</t>
  </si>
  <si>
    <t>Biochar Production - Skilled labor</t>
  </si>
  <si>
    <t xml:space="preserve"> </t>
  </si>
  <si>
    <t>Value</t>
  </si>
  <si>
    <t xml:space="preserve">Trasportation to Pyrolisis Production Plant </t>
  </si>
  <si>
    <t>https://agronotizie.imagelinenetwork.com/agrimeccanica/calcolo-costi-orari/</t>
  </si>
  <si>
    <t>€/anno</t>
  </si>
  <si>
    <t>Lab biochar testing</t>
  </si>
  <si>
    <t>€/test</t>
  </si>
  <si>
    <t>Quantità Stimata</t>
  </si>
  <si>
    <t>test</t>
  </si>
  <si>
    <t>Costi Variabili</t>
  </si>
  <si>
    <t>Unità</t>
  </si>
  <si>
    <t>Utenze ed energia (dopo compensazione)</t>
  </si>
  <si>
    <t>OPEX Totale (annuale)</t>
  </si>
  <si>
    <t>Costi di certificazione</t>
  </si>
  <si>
    <t>Cpital Expenses</t>
  </si>
  <si>
    <t>OP.EX</t>
  </si>
  <si>
    <t>Costi Operativi Variabili</t>
  </si>
  <si>
    <t>Costi Operatiivi fissi</t>
  </si>
  <si>
    <t>Totale Costi annuali</t>
  </si>
  <si>
    <t>Tipologia Batch</t>
  </si>
  <si>
    <t>Ciclo continuo</t>
  </si>
  <si>
    <t>reference</t>
  </si>
  <si>
    <t>https://www.ui.torino.it/unione-per-te/scenari-economici/notizia/96725/costo-del-lavoro-nel-settore-impiantistico-luglio/</t>
  </si>
  <si>
    <t>https://www.mingjiegroup.com/products/Tire_plastic_Pyrolysis_Plant.html?_gl=1*178m07f*_up*MQ..*_ga*MTA5MDY1NzQzMi4xNzQxMTc1MzQ5*_ga_CKV6FB6W3S*MTc0MTE3NTM0OC4xLjAuMTc0MTE3NTM0OC4wLjAuMA..&amp;gclid=CjwKCAiAiaC-BhBEEiwAjY99qF4pXlE9uatMuHaQzp1wrMn342UtWtHR_OHzKAr12CHPEYdDzqeSIBoCDBQQAvD_BwE</t>
  </si>
  <si>
    <t>fuel consumption</t>
  </si>
  <si>
    <t>https://www.gti.energy/wp-content/uploads/2022/05/10-tcbiomass2022-Presentation-Andrea-Salimbeni.pdf</t>
  </si>
  <si>
    <t>€/t</t>
  </si>
  <si>
    <t>t/anno</t>
  </si>
  <si>
    <t>Carbon credits certification</t>
  </si>
  <si>
    <t>Costi amministrativi e generali (assicurazioni + permessi + altro)</t>
  </si>
  <si>
    <t>Calcolo Valore attuale netto dell'investimento (VAN)</t>
  </si>
  <si>
    <t>Configurazione Pirolizzatore</t>
  </si>
  <si>
    <t>Totale Costi Operativi variabili</t>
  </si>
  <si>
    <t>kg/h</t>
  </si>
  <si>
    <t>Produzione energia</t>
  </si>
  <si>
    <t>Totale Costi Investimento</t>
  </si>
  <si>
    <t>Reattore di pirolisi (€/KW)</t>
  </si>
  <si>
    <t>Capacità (kg/h)</t>
  </si>
  <si>
    <t>Piccole dimensioni</t>
  </si>
  <si>
    <t>Grandi dimensioni</t>
  </si>
  <si>
    <t>Potenza (kW/he)</t>
  </si>
  <si>
    <t>Tipologia impianto</t>
  </si>
  <si>
    <t>capacità</t>
  </si>
  <si>
    <t>materiale in ingresso</t>
  </si>
  <si>
    <t>Medie dimensioni</t>
  </si>
  <si>
    <t>1000 kW/h elettrici --  
2000 kW/h termici</t>
  </si>
  <si>
    <t>20 kW/h elettrici  --  
40 kW/h termici</t>
  </si>
  <si>
    <t>200 kW/h elettrici --  
400 kW/h termici</t>
  </si>
  <si>
    <t>Funzionamento impianto (Operations)</t>
  </si>
  <si>
    <t xml:space="preserve">Costo operarions 0,045 (€/kWh) </t>
  </si>
  <si>
    <t>Raccolta Biomassa generica (costo medio)</t>
  </si>
  <si>
    <t>Raccolta Arundo Donax</t>
  </si>
  <si>
    <t>Raccolta Paglia</t>
  </si>
  <si>
    <t>raccolta sarmenti Olivi</t>
  </si>
  <si>
    <t>Raccolta sarmenti vite</t>
  </si>
  <si>
    <t>Manutenzione impianto</t>
  </si>
  <si>
    <t xml:space="preserve">Costo manutenzione 0,044 (€/kWh) </t>
  </si>
  <si>
    <t>KW/anno</t>
  </si>
  <si>
    <t>Totale Costi 1°anno</t>
  </si>
  <si>
    <t>ore oppure tonnes</t>
  </si>
  <si>
    <t>Simulatore dei costi di investimento per la tecnologia del biochar
(compilare le caselle in azzurro)</t>
  </si>
  <si>
    <t>Ing. Mussi - Yanmar</t>
  </si>
  <si>
    <t>Totale Costi Operativi fissi</t>
  </si>
  <si>
    <t>kW elettricità prodotta (annuale)</t>
  </si>
  <si>
    <t>kW elettricità consumata per pirolisi (annuale)</t>
  </si>
  <si>
    <t>Dettaglio Energia</t>
  </si>
  <si>
    <t>Capacità in ingresso</t>
  </si>
  <si>
    <t xml:space="preserve">Iniziativa realizzata nell'ambito del Gruppo Operativo CARBOGAIN cofinanziato dal FEASR. Operazione 16.1.01 "Gruppi Operativi PEI" del Programma di Sviluppo Rurale 2014-2020 della Regione Lombardia. Capofila del parternariato Fondazione MinoprioITS Academy, progetto realizzato con la collaborazione di Università degli Studi di Milano - DISAA, Ater Collis Società Agricola S.S., Società Agricola Fedeli e La Boscaiola Vigneti Cenci Società Agricola. 
Autorità di gestione del Programma: Regione Lombardia </t>
  </si>
  <si>
    <r>
      <rPr>
        <sz val="12"/>
        <color theme="1"/>
        <rFont val="Symbol"/>
        <family val="1"/>
        <charset val="2"/>
      </rPr>
      <t>¬</t>
    </r>
    <r>
      <rPr>
        <sz val="12"/>
        <color theme="1"/>
        <rFont val="Abadi"/>
        <family val="2"/>
      </rPr>
      <t xml:space="preserve"> scegliere le dimensione da casella a tendina </t>
    </r>
  </si>
  <si>
    <r>
      <rPr>
        <sz val="12"/>
        <color theme="1"/>
        <rFont val="Symbol"/>
        <family val="1"/>
        <charset val="2"/>
      </rPr>
      <t>¬</t>
    </r>
    <r>
      <rPr>
        <sz val="12"/>
        <color theme="1"/>
        <rFont val="Abadi"/>
        <family val="2"/>
      </rPr>
      <t xml:space="preserve"> scegliere la quantità annuale di biomassa prevista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</si>
</sst>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* #,##0\ &quot;€&quot;_-;\-* #,##0\ &quot;€&quot;_-;_-* &quot;-&quot;??\ &quot;€&quot;_-;_-@_-"/>
    <numFmt numFmtId="166" formatCode="[$€-2]\ #,##0;[Red]\-[$€-2]\ #,##0"/>
    <numFmt numFmtId="167" formatCode="&quot;€&quot;\ #,##0;[Red]\-&quot;€&quot;\ #,##0"/>
    <numFmt numFmtId="168" formatCode="_-* #,##0.000\ &quot;€&quot;_-;\-* #,##0.000\ &quot;€&quot;_-;_-* &quot;-&quot;??\ &quot;€&quot;_-;_-@_-"/>
  </numFmts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Abadi MT Condensed Light"/>
      <family val="2"/>
    </font>
    <font>
      <sz val="14"/>
      <color theme="1"/>
      <name val="Abadi"/>
      <family val="2"/>
    </font>
    <font>
      <b/>
      <sz val="14"/>
      <color theme="1"/>
      <name val="Abadi"/>
      <family val="2"/>
    </font>
    <font>
      <sz val="11"/>
      <color theme="1"/>
      <name val="Abadi"/>
      <family val="2"/>
    </font>
    <font>
      <b/>
      <sz val="11"/>
      <color theme="1"/>
      <name val="Abadi"/>
      <family val="2"/>
    </font>
    <font>
      <sz val="12"/>
      <color theme="1"/>
      <name val="Abadi"/>
      <family val="2"/>
    </font>
    <font>
      <u/>
      <sz val="11"/>
      <color theme="10"/>
      <name val="Abadi"/>
      <family val="2"/>
    </font>
    <font>
      <sz val="14"/>
      <color rgb="FF000000"/>
      <name val="Abadi"/>
      <family val="2"/>
    </font>
    <font>
      <sz val="14"/>
      <color theme="1" tint="0.34998626667073579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theme="1"/>
      <name val="Abadi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6B8B7"/>
        <bgColor rgb="FF000000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140">
    <xf numFmtId="0" fontId="0" fillId="0" borderId="0" xfId="0"/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vertical="center"/>
    </xf>
    <xf numFmtId="44" fontId="0" fillId="6" borderId="0" xfId="2" applyFont="1" applyFill="1" applyAlignment="1">
      <alignment vertical="center"/>
    </xf>
    <xf numFmtId="0" fontId="0" fillId="6" borderId="0" xfId="0" applyFill="1"/>
    <xf numFmtId="0" fontId="6" fillId="7" borderId="0" xfId="0" applyFont="1" applyFill="1" applyAlignment="1">
      <alignment vertical="center"/>
    </xf>
    <xf numFmtId="0" fontId="6" fillId="7" borderId="0" xfId="0" applyFont="1" applyFill="1" applyAlignment="1">
      <alignment horizontal="right" vertical="center" wrapText="1"/>
    </xf>
    <xf numFmtId="0" fontId="7" fillId="6" borderId="1" xfId="0" applyFont="1" applyFill="1" applyBorder="1"/>
    <xf numFmtId="0" fontId="7" fillId="6" borderId="2" xfId="0" applyFont="1" applyFill="1" applyBorder="1"/>
    <xf numFmtId="0" fontId="8" fillId="6" borderId="2" xfId="0" applyFont="1" applyFill="1" applyBorder="1"/>
    <xf numFmtId="0" fontId="8" fillId="6" borderId="6" xfId="0" applyFont="1" applyFill="1" applyBorder="1"/>
    <xf numFmtId="0" fontId="8" fillId="6" borderId="0" xfId="0" applyFont="1" applyFill="1"/>
    <xf numFmtId="0" fontId="9" fillId="6" borderId="3" xfId="0" applyFont="1" applyFill="1" applyBorder="1"/>
    <xf numFmtId="0" fontId="9" fillId="6" borderId="7" xfId="0" applyFont="1" applyFill="1" applyBorder="1"/>
    <xf numFmtId="0" fontId="9" fillId="6" borderId="4" xfId="0" applyFont="1" applyFill="1" applyBorder="1"/>
    <xf numFmtId="0" fontId="9" fillId="6" borderId="5" xfId="0" applyFont="1" applyFill="1" applyBorder="1"/>
    <xf numFmtId="0" fontId="9" fillId="6" borderId="8" xfId="0" applyFont="1" applyFill="1" applyBorder="1"/>
    <xf numFmtId="0" fontId="9" fillId="6" borderId="20" xfId="0" applyFont="1" applyFill="1" applyBorder="1"/>
    <xf numFmtId="0" fontId="9" fillId="6" borderId="9" xfId="0" applyFont="1" applyFill="1" applyBorder="1" applyAlignment="1">
      <alignment horizontal="right"/>
    </xf>
    <xf numFmtId="0" fontId="9" fillId="6" borderId="9" xfId="0" applyFont="1" applyFill="1" applyBorder="1"/>
    <xf numFmtId="0" fontId="9" fillId="6" borderId="21" xfId="0" applyFont="1" applyFill="1" applyBorder="1"/>
    <xf numFmtId="0" fontId="9" fillId="6" borderId="0" xfId="0" applyFont="1" applyFill="1"/>
    <xf numFmtId="0" fontId="8" fillId="6" borderId="18" xfId="0" applyFont="1" applyFill="1" applyBorder="1"/>
    <xf numFmtId="165" fontId="8" fillId="3" borderId="18" xfId="2" applyNumberFormat="1" applyFont="1" applyFill="1" applyBorder="1"/>
    <xf numFmtId="0" fontId="9" fillId="6" borderId="18" xfId="0" applyFont="1" applyFill="1" applyBorder="1"/>
    <xf numFmtId="165" fontId="9" fillId="6" borderId="18" xfId="2" applyNumberFormat="1" applyFont="1" applyFill="1" applyBorder="1"/>
    <xf numFmtId="165" fontId="8" fillId="6" borderId="18" xfId="0" applyNumberFormat="1" applyFont="1" applyFill="1" applyBorder="1"/>
    <xf numFmtId="165" fontId="8" fillId="6" borderId="18" xfId="2" applyNumberFormat="1" applyFont="1" applyFill="1" applyBorder="1"/>
    <xf numFmtId="0" fontId="7" fillId="6" borderId="0" xfId="0" applyFont="1" applyFill="1"/>
    <xf numFmtId="165" fontId="7" fillId="6" borderId="0" xfId="0" applyNumberFormat="1" applyFont="1" applyFill="1"/>
    <xf numFmtId="165" fontId="8" fillId="6" borderId="0" xfId="0" applyNumberFormat="1" applyFont="1" applyFill="1"/>
    <xf numFmtId="9" fontId="7" fillId="6" borderId="11" xfId="4" applyFont="1" applyFill="1" applyBorder="1"/>
    <xf numFmtId="165" fontId="9" fillId="6" borderId="0" xfId="0" applyNumberFormat="1" applyFont="1" applyFill="1"/>
    <xf numFmtId="167" fontId="7" fillId="6" borderId="10" xfId="0" applyNumberFormat="1" applyFont="1" applyFill="1" applyBorder="1"/>
    <xf numFmtId="164" fontId="8" fillId="6" borderId="0" xfId="0" applyNumberFormat="1" applyFont="1" applyFill="1"/>
    <xf numFmtId="165" fontId="10" fillId="8" borderId="0" xfId="2" applyNumberFormat="1" applyFont="1" applyFill="1" applyBorder="1" applyAlignment="1">
      <alignment horizontal="left" wrapText="1"/>
    </xf>
    <xf numFmtId="0" fontId="10" fillId="8" borderId="0" xfId="0" applyFont="1" applyFill="1" applyAlignment="1">
      <alignment wrapText="1"/>
    </xf>
    <xf numFmtId="0" fontId="6" fillId="6" borderId="0" xfId="0" applyFont="1" applyFill="1"/>
    <xf numFmtId="165" fontId="10" fillId="2" borderId="16" xfId="2" applyNumberFormat="1" applyFont="1" applyFill="1" applyBorder="1" applyAlignment="1">
      <alignment horizontal="left" wrapText="1"/>
    </xf>
    <xf numFmtId="165" fontId="10" fillId="0" borderId="15" xfId="2" applyNumberFormat="1" applyFont="1" applyBorder="1" applyAlignment="1">
      <alignment horizontal="center" vertical="center"/>
    </xf>
    <xf numFmtId="165" fontId="10" fillId="0" borderId="17" xfId="2" applyNumberFormat="1" applyFont="1" applyBorder="1" applyAlignment="1">
      <alignment horizontal="center" vertical="center"/>
    </xf>
    <xf numFmtId="0" fontId="11" fillId="6" borderId="0" xfId="3" applyFont="1" applyFill="1"/>
    <xf numFmtId="165" fontId="10" fillId="5" borderId="15" xfId="2" applyNumberFormat="1" applyFont="1" applyFill="1" applyBorder="1" applyAlignment="1">
      <alignment horizontal="center" vertical="center"/>
    </xf>
    <xf numFmtId="165" fontId="10" fillId="2" borderId="15" xfId="2" applyNumberFormat="1" applyFont="1" applyFill="1" applyBorder="1" applyAlignment="1">
      <alignment horizontal="left" wrapText="1"/>
    </xf>
    <xf numFmtId="165" fontId="10" fillId="5" borderId="15" xfId="2" applyNumberFormat="1" applyFont="1" applyFill="1" applyBorder="1" applyAlignment="1">
      <alignment horizontal="left" wrapText="1"/>
    </xf>
    <xf numFmtId="0" fontId="10" fillId="2" borderId="15" xfId="0" applyFont="1" applyFill="1" applyBorder="1" applyAlignment="1">
      <alignment horizontal="left" wrapText="1"/>
    </xf>
    <xf numFmtId="166" fontId="10" fillId="0" borderId="15" xfId="2" applyNumberFormat="1" applyFont="1" applyBorder="1" applyAlignment="1">
      <alignment vertical="center"/>
    </xf>
    <xf numFmtId="166" fontId="10" fillId="0" borderId="15" xfId="0" applyNumberFormat="1" applyFont="1" applyBorder="1" applyAlignment="1">
      <alignment vertical="center"/>
    </xf>
    <xf numFmtId="0" fontId="6" fillId="6" borderId="0" xfId="0" applyFont="1" applyFill="1" applyAlignment="1">
      <alignment horizontal="left" wrapText="1"/>
    </xf>
    <xf numFmtId="44" fontId="6" fillId="6" borderId="0" xfId="2" applyFont="1" applyFill="1" applyAlignment="1">
      <alignment horizontal="left" wrapText="1"/>
    </xf>
    <xf numFmtId="44" fontId="6" fillId="6" borderId="0" xfId="2" applyFont="1" applyFill="1"/>
    <xf numFmtId="0" fontId="10" fillId="6" borderId="0" xfId="0" applyFont="1" applyFill="1" applyAlignment="1">
      <alignment wrapText="1"/>
    </xf>
    <xf numFmtId="0" fontId="10" fillId="6" borderId="0" xfId="0" applyFont="1" applyFill="1" applyAlignment="1">
      <alignment horizontal="center"/>
    </xf>
    <xf numFmtId="44" fontId="10" fillId="6" borderId="0" xfId="2" applyFont="1" applyFill="1"/>
    <xf numFmtId="0" fontId="10" fillId="3" borderId="1" xfId="0" applyFont="1" applyFill="1" applyBorder="1" applyAlignment="1">
      <alignment wrapText="1"/>
    </xf>
    <xf numFmtId="0" fontId="10" fillId="3" borderId="2" xfId="0" applyFont="1" applyFill="1" applyBorder="1" applyAlignment="1">
      <alignment horizontal="center"/>
    </xf>
    <xf numFmtId="44" fontId="10" fillId="3" borderId="2" xfId="2" applyFont="1" applyFill="1" applyBorder="1"/>
    <xf numFmtId="0" fontId="8" fillId="6" borderId="14" xfId="0" applyFont="1" applyFill="1" applyBorder="1"/>
    <xf numFmtId="0" fontId="10" fillId="0" borderId="18" xfId="0" applyFont="1" applyBorder="1" applyAlignment="1">
      <alignment wrapText="1"/>
    </xf>
    <xf numFmtId="0" fontId="10" fillId="0" borderId="18" xfId="0" applyFont="1" applyBorder="1" applyAlignment="1">
      <alignment horizontal="center"/>
    </xf>
    <xf numFmtId="44" fontId="10" fillId="4" borderId="18" xfId="2" applyFont="1" applyFill="1" applyBorder="1"/>
    <xf numFmtId="0" fontId="8" fillId="6" borderId="0" xfId="0" applyFont="1" applyFill="1" applyAlignment="1">
      <alignment wrapText="1"/>
    </xf>
    <xf numFmtId="0" fontId="8" fillId="6" borderId="0" xfId="0" applyFont="1" applyFill="1" applyAlignment="1">
      <alignment horizontal="center"/>
    </xf>
    <xf numFmtId="44" fontId="8" fillId="6" borderId="0" xfId="2" applyFont="1" applyFill="1"/>
    <xf numFmtId="0" fontId="10" fillId="3" borderId="12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 vertical="center" wrapText="1"/>
    </xf>
    <xf numFmtId="44" fontId="10" fillId="3" borderId="14" xfId="2" applyFont="1" applyFill="1" applyBorder="1" applyAlignment="1">
      <alignment horizontal="left" vertical="center" wrapText="1"/>
    </xf>
    <xf numFmtId="0" fontId="8" fillId="6" borderId="0" xfId="0" applyFont="1" applyFill="1" applyAlignment="1">
      <alignment vertical="center"/>
    </xf>
    <xf numFmtId="165" fontId="10" fillId="2" borderId="19" xfId="2" applyNumberFormat="1" applyFont="1" applyFill="1" applyBorder="1" applyAlignment="1">
      <alignment horizontal="left" wrapText="1"/>
    </xf>
    <xf numFmtId="0" fontId="8" fillId="0" borderId="19" xfId="0" applyFont="1" applyBorder="1" applyAlignment="1">
      <alignment horizontal="center"/>
    </xf>
    <xf numFmtId="165" fontId="10" fillId="0" borderId="19" xfId="2" applyNumberFormat="1" applyFont="1" applyBorder="1" applyAlignment="1">
      <alignment horizontal="center" vertical="center"/>
    </xf>
    <xf numFmtId="165" fontId="10" fillId="2" borderId="18" xfId="2" applyNumberFormat="1" applyFont="1" applyFill="1" applyBorder="1" applyAlignment="1">
      <alignment horizontal="left" wrapText="1"/>
    </xf>
    <xf numFmtId="0" fontId="8" fillId="0" borderId="18" xfId="0" applyFont="1" applyBorder="1" applyAlignment="1">
      <alignment horizontal="center"/>
    </xf>
    <xf numFmtId="165" fontId="10" fillId="0" borderId="18" xfId="2" applyNumberFormat="1" applyFont="1" applyBorder="1" applyAlignment="1">
      <alignment horizontal="center" vertical="center"/>
    </xf>
    <xf numFmtId="165" fontId="10" fillId="6" borderId="0" xfId="2" applyNumberFormat="1" applyFont="1" applyFill="1" applyBorder="1" applyAlignment="1">
      <alignment horizontal="center" vertical="center"/>
    </xf>
    <xf numFmtId="1" fontId="8" fillId="6" borderId="0" xfId="0" applyNumberFormat="1" applyFont="1" applyFill="1" applyAlignment="1">
      <alignment horizontal="center"/>
    </xf>
    <xf numFmtId="1" fontId="8" fillId="6" borderId="0" xfId="2" applyNumberFormat="1" applyFont="1" applyFill="1"/>
    <xf numFmtId="9" fontId="8" fillId="6" borderId="0" xfId="0" applyNumberFormat="1" applyFont="1" applyFill="1"/>
    <xf numFmtId="10" fontId="8" fillId="6" borderId="0" xfId="0" applyNumberFormat="1" applyFont="1" applyFill="1"/>
    <xf numFmtId="0" fontId="5" fillId="6" borderId="0" xfId="0" applyFont="1" applyFill="1" applyAlignment="1">
      <alignment vertical="center" wrapText="1"/>
    </xf>
    <xf numFmtId="0" fontId="6" fillId="10" borderId="12" xfId="0" applyFont="1" applyFill="1" applyBorder="1" applyAlignment="1">
      <alignment vertical="center"/>
    </xf>
    <xf numFmtId="44" fontId="6" fillId="10" borderId="14" xfId="2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right" vertical="center" wrapText="1"/>
    </xf>
    <xf numFmtId="1" fontId="10" fillId="0" borderId="15" xfId="2" applyNumberFormat="1" applyFont="1" applyBorder="1" applyAlignment="1">
      <alignment horizontal="center" vertical="center"/>
    </xf>
    <xf numFmtId="1" fontId="10" fillId="0" borderId="17" xfId="2" applyNumberFormat="1" applyFont="1" applyBorder="1" applyAlignment="1">
      <alignment horizontal="center" vertical="center"/>
    </xf>
    <xf numFmtId="165" fontId="10" fillId="8" borderId="0" xfId="2" applyNumberFormat="1" applyFont="1" applyFill="1" applyBorder="1" applyAlignment="1">
      <alignment horizontal="center" wrapText="1"/>
    </xf>
    <xf numFmtId="44" fontId="10" fillId="0" borderId="15" xfId="2" applyFont="1" applyBorder="1" applyAlignment="1">
      <alignment horizontal="center" vertical="center"/>
    </xf>
    <xf numFmtId="168" fontId="10" fillId="0" borderId="15" xfId="2" applyNumberFormat="1" applyFont="1" applyBorder="1" applyAlignment="1">
      <alignment horizontal="center" vertical="center"/>
    </xf>
    <xf numFmtId="165" fontId="10" fillId="8" borderId="0" xfId="2" applyNumberFormat="1" applyFont="1" applyFill="1" applyBorder="1" applyAlignment="1">
      <alignment horizontal="right" wrapText="1"/>
    </xf>
    <xf numFmtId="2" fontId="10" fillId="8" borderId="0" xfId="2" applyNumberFormat="1" applyFont="1" applyFill="1" applyBorder="1" applyAlignment="1">
      <alignment horizontal="center" wrapText="1"/>
    </xf>
    <xf numFmtId="2" fontId="10" fillId="8" borderId="0" xfId="0" applyNumberFormat="1" applyFont="1" applyFill="1" applyAlignment="1">
      <alignment wrapText="1"/>
    </xf>
    <xf numFmtId="0" fontId="6" fillId="7" borderId="0" xfId="0" applyFont="1" applyFill="1" applyAlignment="1">
      <alignment vertical="center" wrapText="1"/>
    </xf>
    <xf numFmtId="1" fontId="10" fillId="8" borderId="0" xfId="2" applyNumberFormat="1" applyFont="1" applyFill="1" applyBorder="1" applyAlignment="1">
      <alignment horizontal="center" wrapText="1"/>
    </xf>
    <xf numFmtId="1" fontId="10" fillId="8" borderId="0" xfId="0" applyNumberFormat="1" applyFont="1" applyFill="1" applyAlignment="1">
      <alignment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44" fontId="6" fillId="2" borderId="0" xfId="2" applyFont="1" applyFill="1" applyBorder="1" applyAlignment="1">
      <alignment horizontal="left" vertical="center"/>
    </xf>
    <xf numFmtId="0" fontId="6" fillId="3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44" fontId="6" fillId="2" borderId="0" xfId="2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0" fillId="6" borderId="0" xfId="0" applyNumberForma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44" fontId="6" fillId="2" borderId="0" xfId="2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44" fontId="10" fillId="0" borderId="18" xfId="2" applyFont="1" applyFill="1" applyBorder="1"/>
    <xf numFmtId="0" fontId="8" fillId="0" borderId="0" xfId="0" applyFont="1"/>
    <xf numFmtId="44" fontId="10" fillId="0" borderId="18" xfId="2" applyFont="1" applyFill="1" applyBorder="1" applyAlignment="1">
      <alignment horizontal="left"/>
    </xf>
    <xf numFmtId="0" fontId="10" fillId="0" borderId="18" xfId="0" applyFont="1" applyBorder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 wrapText="1"/>
    </xf>
    <xf numFmtId="44" fontId="6" fillId="5" borderId="0" xfId="2" applyFont="1" applyFill="1" applyAlignment="1">
      <alignment vertical="center"/>
    </xf>
    <xf numFmtId="0" fontId="6" fillId="2" borderId="23" xfId="0" applyFont="1" applyFill="1" applyBorder="1" applyAlignment="1">
      <alignment vertical="center"/>
    </xf>
    <xf numFmtId="1" fontId="6" fillId="2" borderId="24" xfId="2" applyNumberFormat="1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/>
    </xf>
    <xf numFmtId="0" fontId="6" fillId="2" borderId="26" xfId="0" applyFont="1" applyFill="1" applyBorder="1" applyAlignment="1">
      <alignment vertical="center"/>
    </xf>
    <xf numFmtId="1" fontId="6" fillId="2" borderId="27" xfId="2" applyNumberFormat="1" applyFont="1" applyFill="1" applyBorder="1" applyAlignment="1">
      <alignment vertical="center"/>
    </xf>
    <xf numFmtId="0" fontId="6" fillId="6" borderId="0" xfId="0" applyFont="1" applyFill="1" applyAlignment="1">
      <alignment vertical="center"/>
    </xf>
    <xf numFmtId="0" fontId="6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right" vertical="center" wrapText="1"/>
    </xf>
    <xf numFmtId="44" fontId="6" fillId="6" borderId="0" xfId="2" applyFont="1" applyFill="1" applyAlignment="1">
      <alignment vertical="center"/>
    </xf>
    <xf numFmtId="0" fontId="4" fillId="6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44" fontId="6" fillId="7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12" fillId="11" borderId="13" xfId="0" applyFont="1" applyFill="1" applyBorder="1" applyAlignment="1">
      <alignment horizontal="right" vertical="center" wrapText="1"/>
    </xf>
    <xf numFmtId="0" fontId="6" fillId="10" borderId="13" xfId="0" applyFont="1" applyFill="1" applyBorder="1" applyAlignment="1">
      <alignment horizontal="right" vertical="center" wrapText="1"/>
    </xf>
    <xf numFmtId="0" fontId="6" fillId="10" borderId="12" xfId="0" applyFont="1" applyFill="1" applyBorder="1" applyAlignment="1">
      <alignment horizontal="right" vertical="center"/>
    </xf>
    <xf numFmtId="0" fontId="6" fillId="10" borderId="13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</cellXfs>
  <cellStyles count="5">
    <cellStyle name="Collegamento ipertestuale" xfId="3" builtinId="8"/>
    <cellStyle name="Normale" xfId="0" builtinId="0"/>
    <cellStyle name="Normale 2" xfId="1" xr:uid="{604178BD-6FCE-CB4F-AD11-25525CF86A35}"/>
    <cellStyle name="Percentuale" xfId="4" builtinId="5"/>
    <cellStyle name="Valuta" xfId="2" builtinId="4"/>
  </cellStyles>
  <dxfs count="0"/>
  <tableStyles count="0" defaultTableStyle="TableStyleMedium9" defaultPivotStyle="PivotStyleLight16"/>
  <colors>
    <mruColors>
      <color rgb="FFD8DF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537549</xdr:colOff>
      <xdr:row>24</xdr:row>
      <xdr:rowOff>122599</xdr:rowOff>
    </xdr:from>
    <xdr:to>
      <xdr:col>4</xdr:col>
      <xdr:colOff>1126501</xdr:colOff>
      <xdr:row>30</xdr:row>
      <xdr:rowOff>54955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AC72F75-643B-75F9-772F-1E7E70467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5173" y="11062203"/>
          <a:ext cx="7331897" cy="1064039"/>
        </a:xfrm>
        <a:prstGeom prst="rect">
          <a:avLst/>
        </a:prstGeom>
      </xdr:spPr>
    </xdr:pic>
    <xdr:clientData/>
  </xdr:twoCellAnchor>
  <xdr:twoCellAnchor editAs="oneCell">
    <xdr:from>
      <xdr:col>7</xdr:col>
      <xdr:colOff>339504</xdr:colOff>
      <xdr:row>2</xdr:row>
      <xdr:rowOff>113168</xdr:rowOff>
    </xdr:from>
    <xdr:to>
      <xdr:col>10</xdr:col>
      <xdr:colOff>141460</xdr:colOff>
      <xdr:row>6</xdr:row>
      <xdr:rowOff>269718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B3E08937-6A61-EE2B-E3C4-6CF1E18BF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5073" y="2791485"/>
          <a:ext cx="1980446" cy="1967243"/>
        </a:xfrm>
        <a:prstGeom prst="rect">
          <a:avLst/>
        </a:prstGeom>
      </xdr:spPr>
    </xdr:pic>
    <xdr:clientData/>
  </xdr:twoCellAnchor>
  <xdr:twoCellAnchor editAs="oneCell">
    <xdr:from>
      <xdr:col>7</xdr:col>
      <xdr:colOff>273489</xdr:colOff>
      <xdr:row>10</xdr:row>
      <xdr:rowOff>594134</xdr:rowOff>
    </xdr:from>
    <xdr:to>
      <xdr:col>10</xdr:col>
      <xdr:colOff>127175</xdr:colOff>
      <xdr:row>14</xdr:row>
      <xdr:rowOff>32746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11FF64C1-C1DE-9319-180A-757D90EC0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99058" y="6676931"/>
          <a:ext cx="2032176" cy="1767993"/>
        </a:xfrm>
        <a:prstGeom prst="rect">
          <a:avLst/>
        </a:prstGeom>
      </xdr:spPr>
    </xdr:pic>
    <xdr:clientData/>
  </xdr:twoCellAnchor>
  <xdr:twoCellAnchor editAs="oneCell">
    <xdr:from>
      <xdr:col>7</xdr:col>
      <xdr:colOff>311212</xdr:colOff>
      <xdr:row>7</xdr:row>
      <xdr:rowOff>37723</xdr:rowOff>
    </xdr:from>
    <xdr:to>
      <xdr:col>10</xdr:col>
      <xdr:colOff>160321</xdr:colOff>
      <xdr:row>10</xdr:row>
      <xdr:rowOff>172643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8EC111AE-6D04-D35B-AF38-70BFE05BF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781" y="5045421"/>
          <a:ext cx="2027599" cy="1210019"/>
        </a:xfrm>
        <a:prstGeom prst="rect">
          <a:avLst/>
        </a:prstGeom>
      </xdr:spPr>
    </xdr:pic>
    <xdr:clientData/>
  </xdr:twoCellAnchor>
  <xdr:twoCellAnchor editAs="oneCell">
    <xdr:from>
      <xdr:col>7</xdr:col>
      <xdr:colOff>273489</xdr:colOff>
      <xdr:row>14</xdr:row>
      <xdr:rowOff>216907</xdr:rowOff>
    </xdr:from>
    <xdr:to>
      <xdr:col>10</xdr:col>
      <xdr:colOff>122599</xdr:colOff>
      <xdr:row>16</xdr:row>
      <xdr:rowOff>243685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5F0A0141-3560-2C70-7F8E-F9EC8F29D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99058" y="8629085"/>
          <a:ext cx="2027600" cy="818956"/>
        </a:xfrm>
        <a:prstGeom prst="rect">
          <a:avLst/>
        </a:prstGeom>
      </xdr:spPr>
    </xdr:pic>
    <xdr:clientData/>
  </xdr:twoCellAnchor>
  <xdr:twoCellAnchor editAs="oneCell">
    <xdr:from>
      <xdr:col>7</xdr:col>
      <xdr:colOff>282919</xdr:colOff>
      <xdr:row>0</xdr:row>
      <xdr:rowOff>1763541</xdr:rowOff>
    </xdr:from>
    <xdr:to>
      <xdr:col>10</xdr:col>
      <xdr:colOff>84876</xdr:colOff>
      <xdr:row>1</xdr:row>
      <xdr:rowOff>650843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3F73753C-2B77-9EFE-F9AF-AF85D0A46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488" y="1763541"/>
          <a:ext cx="1980447" cy="679134"/>
        </a:xfrm>
        <a:prstGeom prst="rect">
          <a:avLst/>
        </a:prstGeom>
      </xdr:spPr>
    </xdr:pic>
    <xdr:clientData/>
  </xdr:twoCellAnchor>
  <xdr:twoCellAnchor editAs="oneCell">
    <xdr:from>
      <xdr:col>1</xdr:col>
      <xdr:colOff>188614</xdr:colOff>
      <xdr:row>0</xdr:row>
      <xdr:rowOff>0</xdr:rowOff>
    </xdr:from>
    <xdr:to>
      <xdr:col>5</xdr:col>
      <xdr:colOff>159606</xdr:colOff>
      <xdr:row>0</xdr:row>
      <xdr:rowOff>1686160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04831490-0743-F1A1-0CEB-CFD4ACDB0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56238" y="0"/>
          <a:ext cx="8383170" cy="1686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i.torino.it/unione-per-te/scenari-economici/notizia/96725/costo-del-lavoro-nel-settore-impiantistico-luglio/" TargetMode="External"/><Relationship Id="rId2" Type="http://schemas.openxmlformats.org/officeDocument/2006/relationships/hyperlink" Target="https://agronotizie.imagelinenetwork.com/agrimeccanica/calcolo-costi-orari/" TargetMode="External"/><Relationship Id="rId1" Type="http://schemas.openxmlformats.org/officeDocument/2006/relationships/hyperlink" Target="https://agronotizie.imagelinenetwork.com/agrimeccanica/calcolo-costi-orari/" TargetMode="External"/><Relationship Id="rId4" Type="http://schemas.openxmlformats.org/officeDocument/2006/relationships/hyperlink" Target="https://www.mingjiegroup.com/products/Tire_plastic_Pyrolysis_Plant.html?_gl=1*178m07f*_up*MQ..*_ga*MTA5MDY1NzQzMi4xNzQxMTc1MzQ5*_ga_CKV6FB6W3S*MTc0MTE3NTM0OC4xLjAuMTc0MTE3NTM0OC4wLjAuMA..&amp;gclid=CjwKCAiAiaC-BhBEEiwAjY99qF4pXlE9uatMuHaQzp1wrMn342UtWtHR_OHzKAr12CHPEYdDzqeSIBoCDBQ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26934-F496-0642-B977-F4337E90203B}">
  <dimension ref="A1:I33"/>
  <sheetViews>
    <sheetView tabSelected="1" topLeftCell="A18" zoomScale="101" workbookViewId="0">
      <selection activeCell="B32" sqref="B32:E32"/>
    </sheetView>
  </sheetViews>
  <sheetFormatPr defaultColWidth="10.85546875" defaultRowHeight="15"/>
  <cols>
    <col min="1" max="1" width="13" style="2" customWidth="1"/>
    <col min="2" max="2" width="51.7109375" style="1" customWidth="1"/>
    <col min="3" max="3" width="24.140625" style="2" customWidth="1"/>
    <col min="4" max="4" width="25.140625" style="2" customWidth="1"/>
    <col min="5" max="5" width="25" style="3" customWidth="1"/>
    <col min="6" max="6" width="45.5703125" style="2" customWidth="1"/>
    <col min="7" max="7" width="15.140625" style="2" customWidth="1"/>
    <col min="8" max="16384" width="10.85546875" style="2"/>
  </cols>
  <sheetData>
    <row r="1" spans="1:9" ht="141" customHeight="1"/>
    <row r="2" spans="1:9" ht="69.95" customHeight="1">
      <c r="A2" s="124" t="s">
        <v>75</v>
      </c>
      <c r="B2" s="124"/>
      <c r="C2" s="124"/>
      <c r="D2" s="124"/>
      <c r="E2" s="124"/>
    </row>
    <row r="3" spans="1:9" ht="30.95" customHeight="1">
      <c r="B3" s="130" t="s">
        <v>46</v>
      </c>
      <c r="C3" s="130"/>
      <c r="D3" s="130"/>
      <c r="E3" s="130"/>
    </row>
    <row r="4" spans="1:9" ht="30.95" customHeight="1">
      <c r="B4" s="130"/>
      <c r="C4" s="130"/>
      <c r="D4" s="130"/>
      <c r="E4" s="130"/>
    </row>
    <row r="5" spans="1:9" ht="41.1" customHeight="1">
      <c r="B5" s="98"/>
      <c r="C5" s="98" t="s">
        <v>56</v>
      </c>
      <c r="D5" s="129" t="s">
        <v>53</v>
      </c>
      <c r="E5" s="129"/>
      <c r="F5" s="138" t="s">
        <v>83</v>
      </c>
      <c r="G5" s="139"/>
    </row>
    <row r="6" spans="1:9" ht="41.1" customHeight="1">
      <c r="B6" s="5"/>
      <c r="C6" s="5" t="s">
        <v>49</v>
      </c>
      <c r="D6" s="128" t="str">
        <f>+HLOOKUP(D5,'Capital Exp'!$B$1:$D$18,2,FALSE)</f>
        <v>20 kW/h elettrici  --  
40 kW/h termici</v>
      </c>
      <c r="E6" s="128"/>
    </row>
    <row r="7" spans="1:9" ht="41.1" customHeight="1" thickBot="1">
      <c r="B7" s="5"/>
      <c r="C7" s="5" t="s">
        <v>81</v>
      </c>
      <c r="D7" s="6" t="s">
        <v>48</v>
      </c>
      <c r="E7" s="92">
        <f>+HLOOKUP(D5,'Capital Exp'!$B$1:$D$18,3,FALSE)</f>
        <v>20</v>
      </c>
    </row>
    <row r="8" spans="1:9" ht="27" customHeight="1" thickBot="1">
      <c r="A8" s="79"/>
      <c r="B8" s="133" t="s">
        <v>50</v>
      </c>
      <c r="C8" s="134"/>
      <c r="D8" s="134"/>
      <c r="E8" s="81">
        <f>+HLOOKUP(D5,'Capital Exp'!$B$1:$D$18,4,FALSE)*+HLOOKUP(D5,'Capital Exp'!$B$1:$D$18,6,FALSE)</f>
        <v>120000</v>
      </c>
    </row>
    <row r="9" spans="1:9" ht="33" customHeight="1">
      <c r="A9" s="83"/>
      <c r="B9" s="135" t="s">
        <v>31</v>
      </c>
      <c r="C9" s="135"/>
      <c r="D9" s="135"/>
      <c r="E9" s="135"/>
    </row>
    <row r="10" spans="1:9" ht="26.1" customHeight="1">
      <c r="B10" s="100"/>
      <c r="C10" s="102" t="s">
        <v>25</v>
      </c>
      <c r="D10" s="99" t="s">
        <v>22</v>
      </c>
      <c r="E10" s="105" t="s">
        <v>19</v>
      </c>
    </row>
    <row r="11" spans="1:9" s="4" customFormat="1" ht="48.95" customHeight="1" thickBot="1">
      <c r="B11" s="95" t="s">
        <v>65</v>
      </c>
      <c r="C11" s="82" t="s">
        <v>42</v>
      </c>
      <c r="D11" s="96">
        <v>1300</v>
      </c>
      <c r="E11" s="97">
        <f>+D11*VLOOKUP(B11,'Operation Exp'!$A$3:$C$26,3,FALSE)</f>
        <v>62920</v>
      </c>
      <c r="F11" s="138" t="s">
        <v>84</v>
      </c>
      <c r="G11" s="138"/>
      <c r="I11" s="2"/>
    </row>
    <row r="12" spans="1:9" ht="27.95" customHeight="1" thickBot="1">
      <c r="A12" s="83"/>
      <c r="B12" s="80"/>
      <c r="C12" s="132" t="s">
        <v>47</v>
      </c>
      <c r="D12" s="132"/>
      <c r="E12" s="81">
        <f>+SUM(E11:E11)</f>
        <v>62920</v>
      </c>
    </row>
    <row r="13" spans="1:9" ht="54" customHeight="1">
      <c r="B13" s="135" t="s">
        <v>32</v>
      </c>
      <c r="C13" s="135"/>
      <c r="D13" s="135"/>
      <c r="E13" s="135"/>
    </row>
    <row r="14" spans="1:9" ht="53.1" customHeight="1">
      <c r="B14" s="100" t="s">
        <v>63</v>
      </c>
      <c r="C14" s="104" t="s">
        <v>19</v>
      </c>
      <c r="D14" s="100"/>
      <c r="E14" s="101">
        <f>+(D11*1000)/(E7)*E7*0.045</f>
        <v>58500</v>
      </c>
      <c r="F14" s="103"/>
      <c r="G14" s="4"/>
    </row>
    <row r="15" spans="1:9" ht="32.1" customHeight="1" thickBot="1">
      <c r="B15" s="100" t="s">
        <v>70</v>
      </c>
      <c r="C15" s="104" t="s">
        <v>19</v>
      </c>
      <c r="D15" s="100"/>
      <c r="E15" s="101">
        <f>+(D11*1000)/(E7)*E7*0.044</f>
        <v>57200</v>
      </c>
      <c r="F15" s="103"/>
      <c r="G15" s="4"/>
    </row>
    <row r="16" spans="1:9" ht="32.1" customHeight="1" thickBot="1">
      <c r="B16" s="80"/>
      <c r="C16" s="131" t="s">
        <v>77</v>
      </c>
      <c r="D16" s="131"/>
      <c r="E16" s="81">
        <f>+SUM(E14:E15)</f>
        <v>115700</v>
      </c>
      <c r="F16" s="103"/>
      <c r="G16" s="4"/>
    </row>
    <row r="17" spans="2:7" ht="27" customHeight="1">
      <c r="B17" s="106"/>
      <c r="C17" s="111"/>
      <c r="D17" s="112" t="s">
        <v>33</v>
      </c>
      <c r="E17" s="113">
        <f>+E12+E16</f>
        <v>178620</v>
      </c>
      <c r="G17" s="4"/>
    </row>
    <row r="18" spans="2:7" ht="75" customHeight="1">
      <c r="B18" s="106"/>
      <c r="C18" s="111"/>
      <c r="D18" s="112" t="s">
        <v>73</v>
      </c>
      <c r="E18" s="113">
        <f>+E8+E17</f>
        <v>298620</v>
      </c>
      <c r="G18" s="4"/>
    </row>
    <row r="19" spans="2:7" ht="30.95" customHeight="1">
      <c r="B19" s="120"/>
      <c r="C19" s="121"/>
      <c r="D19" s="122"/>
      <c r="E19" s="123"/>
      <c r="G19" s="4"/>
    </row>
    <row r="20" spans="2:7" ht="23.1" customHeight="1">
      <c r="B20" s="120"/>
      <c r="C20" s="121"/>
      <c r="D20" s="122"/>
      <c r="E20" s="123"/>
      <c r="G20" s="4"/>
    </row>
    <row r="21" spans="2:7" ht="21" customHeight="1" thickBot="1">
      <c r="B21" s="120"/>
      <c r="C21" s="121"/>
      <c r="D21" s="122"/>
      <c r="E21" s="123"/>
      <c r="G21" s="4"/>
    </row>
    <row r="22" spans="2:7" ht="21" customHeight="1">
      <c r="B22" s="125" t="s">
        <v>80</v>
      </c>
      <c r="C22" s="126"/>
      <c r="D22" s="126"/>
      <c r="E22" s="127"/>
      <c r="G22" s="4"/>
    </row>
    <row r="23" spans="2:7" ht="39" customHeight="1">
      <c r="B23" s="114" t="s">
        <v>78</v>
      </c>
      <c r="C23" s="104" t="s">
        <v>72</v>
      </c>
      <c r="D23" s="100"/>
      <c r="E23" s="115">
        <f>+(D11*1000)/(E7)*E7</f>
        <v>1300000</v>
      </c>
    </row>
    <row r="24" spans="2:7" ht="42" customHeight="1" thickBot="1">
      <c r="B24" s="116" t="s">
        <v>79</v>
      </c>
      <c r="C24" s="117" t="s">
        <v>72</v>
      </c>
      <c r="D24" s="118"/>
      <c r="E24" s="119">
        <f>+E23*0.11</f>
        <v>143000</v>
      </c>
    </row>
    <row r="32" spans="2:7" ht="81.75" customHeight="1">
      <c r="B32" s="136" t="s">
        <v>82</v>
      </c>
      <c r="C32" s="136"/>
      <c r="D32" s="136"/>
      <c r="E32" s="136"/>
    </row>
    <row r="33" spans="2:5" ht="18.75">
      <c r="B33" s="137"/>
      <c r="C33" s="137"/>
      <c r="D33" s="137"/>
      <c r="E33" s="137"/>
    </row>
  </sheetData>
  <dataConsolidate/>
  <mergeCells count="12">
    <mergeCell ref="B32:E32"/>
    <mergeCell ref="B33:E33"/>
    <mergeCell ref="A2:E2"/>
    <mergeCell ref="B22:E22"/>
    <mergeCell ref="D6:E6"/>
    <mergeCell ref="D5:E5"/>
    <mergeCell ref="B3:E4"/>
    <mergeCell ref="C16:D16"/>
    <mergeCell ref="C12:D12"/>
    <mergeCell ref="B8:D8"/>
    <mergeCell ref="B9:E9"/>
    <mergeCell ref="B13:E13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69ECF46-84E8-CF4C-A78B-A0D500266630}">
          <x14:formula1>
            <xm:f>Ranges!$B$1:$B$30</xm:f>
          </x14:formula1>
          <xm:sqref>D11</xm:sqref>
        </x14:dataValidation>
        <x14:dataValidation type="list" allowBlank="1" showInputMessage="1" showErrorMessage="1" xr:uid="{8782D821-B288-CC49-A37E-13B8C47A954C}">
          <x14:formula1>
            <xm:f>'Operation Exp'!$A$3:$A$7</xm:f>
          </x14:formula1>
          <xm:sqref>B11</xm:sqref>
        </x14:dataValidation>
        <x14:dataValidation type="list" allowBlank="1" showInputMessage="1" showErrorMessage="1" xr:uid="{3D95F125-9A26-8547-AE1B-A1AE70CE5C21}">
          <x14:formula1>
            <xm:f>'Capital Exp'!$B$1:$D$1</xm:f>
          </x14:formula1>
          <xm:sqref>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03969-26A7-7548-8B22-74D8452120EE}">
  <dimension ref="A1:E24"/>
  <sheetViews>
    <sheetView workbookViewId="0">
      <selection activeCell="F17" sqref="F17"/>
    </sheetView>
  </sheetViews>
  <sheetFormatPr defaultColWidth="10.85546875" defaultRowHeight="18.75"/>
  <cols>
    <col min="1" max="1" width="47.7109375" style="48" customWidth="1"/>
    <col min="2" max="3" width="21.85546875" style="50" customWidth="1"/>
    <col min="4" max="4" width="21.85546875" style="37" customWidth="1"/>
    <col min="5" max="16384" width="10.85546875" style="37"/>
  </cols>
  <sheetData>
    <row r="1" spans="1:5">
      <c r="A1" s="35" t="s">
        <v>29</v>
      </c>
      <c r="B1" s="36" t="s">
        <v>53</v>
      </c>
      <c r="C1" s="36" t="s">
        <v>59</v>
      </c>
      <c r="D1" s="36" t="s">
        <v>54</v>
      </c>
    </row>
    <row r="2" spans="1:5" ht="48">
      <c r="A2" s="89" t="s">
        <v>57</v>
      </c>
      <c r="B2" s="86" t="s">
        <v>61</v>
      </c>
      <c r="C2" s="36" t="s">
        <v>62</v>
      </c>
      <c r="D2" s="36" t="s">
        <v>60</v>
      </c>
      <c r="E2" s="41"/>
    </row>
    <row r="3" spans="1:5">
      <c r="A3" s="89" t="s">
        <v>58</v>
      </c>
      <c r="B3" s="93">
        <v>20</v>
      </c>
      <c r="C3" s="94">
        <v>200</v>
      </c>
      <c r="D3" s="94">
        <v>1000</v>
      </c>
      <c r="E3" s="41"/>
    </row>
    <row r="4" spans="1:5">
      <c r="A4" s="89" t="s">
        <v>55</v>
      </c>
      <c r="B4" s="90">
        <v>20</v>
      </c>
      <c r="C4" s="94">
        <v>200</v>
      </c>
      <c r="D4" s="91">
        <v>1000</v>
      </c>
      <c r="E4" s="41"/>
    </row>
    <row r="5" spans="1:5">
      <c r="A5" s="38" t="s">
        <v>52</v>
      </c>
      <c r="B5" s="84">
        <v>20</v>
      </c>
      <c r="C5" s="84">
        <v>200</v>
      </c>
      <c r="D5" s="85">
        <v>1000</v>
      </c>
      <c r="E5" s="41" t="s">
        <v>76</v>
      </c>
    </row>
    <row r="6" spans="1:5">
      <c r="A6" s="38" t="s">
        <v>51</v>
      </c>
      <c r="B6" s="39">
        <v>6000</v>
      </c>
      <c r="C6" s="39">
        <v>5500</v>
      </c>
      <c r="D6" s="40">
        <v>5000</v>
      </c>
      <c r="E6" s="41" t="s">
        <v>76</v>
      </c>
    </row>
    <row r="7" spans="1:5">
      <c r="A7" s="38" t="s">
        <v>64</v>
      </c>
      <c r="B7" s="87">
        <f>0.045*B5</f>
        <v>0.89999999999999991</v>
      </c>
      <c r="C7" s="87">
        <f t="shared" ref="C7:D7" si="0">0.045*C5</f>
        <v>9</v>
      </c>
      <c r="D7" s="87">
        <f t="shared" si="0"/>
        <v>45</v>
      </c>
      <c r="E7" s="41" t="s">
        <v>76</v>
      </c>
    </row>
    <row r="8" spans="1:5">
      <c r="A8" s="38" t="s">
        <v>71</v>
      </c>
      <c r="B8" s="87">
        <f>0.044*B5</f>
        <v>0.87999999999999989</v>
      </c>
      <c r="C8" s="87">
        <f>0.044*C5</f>
        <v>8.7999999999999989</v>
      </c>
      <c r="D8" s="87">
        <f>0.044*D5</f>
        <v>44</v>
      </c>
      <c r="E8" s="41" t="s">
        <v>76</v>
      </c>
    </row>
    <row r="9" spans="1:5">
      <c r="A9" s="43"/>
      <c r="B9" s="88"/>
      <c r="C9" s="88"/>
      <c r="D9" s="88"/>
    </row>
    <row r="10" spans="1:5">
      <c r="A10" s="43"/>
      <c r="B10" s="88"/>
      <c r="C10" s="88"/>
      <c r="D10" s="88"/>
    </row>
    <row r="11" spans="1:5">
      <c r="A11" s="43"/>
      <c r="B11" s="88"/>
      <c r="C11" s="88"/>
      <c r="D11" s="88"/>
    </row>
    <row r="12" spans="1:5">
      <c r="A12" s="44" t="s">
        <v>28</v>
      </c>
      <c r="B12" s="42"/>
      <c r="C12" s="42"/>
      <c r="D12" s="42"/>
    </row>
    <row r="13" spans="1:5">
      <c r="A13" s="45"/>
      <c r="B13" s="46"/>
      <c r="C13" s="46"/>
      <c r="D13" s="47"/>
    </row>
    <row r="14" spans="1:5">
      <c r="A14" s="45"/>
      <c r="B14" s="46"/>
      <c r="C14" s="46"/>
      <c r="D14" s="47"/>
    </row>
    <row r="15" spans="1:5">
      <c r="A15" s="45"/>
      <c r="B15" s="46"/>
      <c r="C15" s="46"/>
      <c r="D15" s="47"/>
    </row>
    <row r="16" spans="1:5">
      <c r="A16" s="45"/>
      <c r="B16" s="46"/>
      <c r="C16" s="46"/>
      <c r="D16" s="47"/>
    </row>
    <row r="17" spans="1:4">
      <c r="A17" s="45"/>
      <c r="B17" s="46"/>
      <c r="C17" s="46"/>
      <c r="D17" s="47"/>
    </row>
    <row r="18" spans="1:4">
      <c r="A18" s="45"/>
      <c r="B18" s="46"/>
      <c r="C18" s="46"/>
      <c r="D18" s="47"/>
    </row>
    <row r="21" spans="1:4">
      <c r="B21" s="49"/>
      <c r="C21" s="49"/>
    </row>
    <row r="22" spans="1:4">
      <c r="B22" s="49"/>
      <c r="C22" s="49"/>
    </row>
    <row r="23" spans="1:4">
      <c r="B23" s="49"/>
      <c r="C23" s="49"/>
    </row>
    <row r="24" spans="1:4">
      <c r="B24" s="49"/>
      <c r="C24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"/>
  <sheetViews>
    <sheetView workbookViewId="0">
      <selection activeCell="H15" sqref="H15"/>
    </sheetView>
  </sheetViews>
  <sheetFormatPr defaultColWidth="8.85546875" defaultRowHeight="29.1" customHeight="1"/>
  <cols>
    <col min="1" max="1" width="9.42578125" style="11" bestFit="1" customWidth="1"/>
    <col min="2" max="2" width="4" style="11" customWidth="1"/>
    <col min="3" max="3" width="35.42578125" style="11" bestFit="1" customWidth="1"/>
    <col min="4" max="4" width="15.42578125" style="11" customWidth="1"/>
    <col min="5" max="5" width="13.7109375" style="11" customWidth="1"/>
    <col min="6" max="6" width="15" style="11" customWidth="1"/>
    <col min="7" max="7" width="11.140625" style="11" customWidth="1"/>
    <col min="8" max="9" width="18.140625" style="11" customWidth="1"/>
    <col min="10" max="18" width="12" style="11" bestFit="1" customWidth="1"/>
    <col min="19" max="16384" width="8.85546875" style="11"/>
  </cols>
  <sheetData>
    <row r="1" spans="1:18" ht="29.1" customHeight="1">
      <c r="A1" s="7" t="s">
        <v>45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10"/>
      <c r="P1" s="10"/>
      <c r="Q1" s="10"/>
      <c r="R1" s="10"/>
    </row>
    <row r="2" spans="1:18" ht="29.1" customHeight="1">
      <c r="A2" s="12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1:18" ht="29.1" customHeight="1">
      <c r="A3" s="16"/>
      <c r="B3" s="17"/>
      <c r="C3" s="18" t="s">
        <v>0</v>
      </c>
      <c r="D3" s="19">
        <v>1</v>
      </c>
      <c r="E3" s="19">
        <v>2</v>
      </c>
      <c r="F3" s="19">
        <v>3</v>
      </c>
      <c r="G3" s="19">
        <v>4</v>
      </c>
      <c r="H3" s="19">
        <v>5</v>
      </c>
      <c r="I3" s="19">
        <v>6</v>
      </c>
      <c r="J3" s="19">
        <v>7</v>
      </c>
      <c r="K3" s="19">
        <v>8</v>
      </c>
      <c r="L3" s="20">
        <v>9</v>
      </c>
      <c r="M3" s="21">
        <v>10</v>
      </c>
      <c r="N3" s="21">
        <v>11</v>
      </c>
      <c r="O3" s="21">
        <v>12</v>
      </c>
      <c r="P3" s="21">
        <v>13</v>
      </c>
      <c r="Q3" s="21">
        <v>14</v>
      </c>
      <c r="R3" s="21">
        <v>15</v>
      </c>
    </row>
    <row r="4" spans="1:18" ht="29.1" customHeight="1">
      <c r="A4" s="22"/>
      <c r="B4" s="22"/>
      <c r="C4" s="22" t="s">
        <v>8</v>
      </c>
      <c r="D4" s="23">
        <v>30000</v>
      </c>
      <c r="E4" s="23">
        <v>30000</v>
      </c>
      <c r="F4" s="23">
        <v>30000</v>
      </c>
      <c r="G4" s="23">
        <v>30000</v>
      </c>
      <c r="H4" s="23">
        <v>30000</v>
      </c>
      <c r="I4" s="23">
        <v>30000</v>
      </c>
      <c r="J4" s="23">
        <v>30000</v>
      </c>
      <c r="K4" s="23">
        <v>30000</v>
      </c>
      <c r="L4" s="23">
        <v>30000</v>
      </c>
      <c r="M4" s="23">
        <v>30000</v>
      </c>
      <c r="N4" s="23">
        <v>30000</v>
      </c>
      <c r="O4" s="23">
        <v>30000</v>
      </c>
      <c r="P4" s="23">
        <v>30000</v>
      </c>
      <c r="Q4" s="23">
        <v>30000</v>
      </c>
      <c r="R4" s="23">
        <v>30000</v>
      </c>
    </row>
    <row r="5" spans="1:18" ht="29.1" customHeight="1">
      <c r="A5" s="24"/>
      <c r="B5" s="24" t="s">
        <v>2</v>
      </c>
      <c r="C5" s="22"/>
      <c r="D5" s="25">
        <f>+D4</f>
        <v>30000</v>
      </c>
      <c r="E5" s="25">
        <f>+E4</f>
        <v>30000</v>
      </c>
      <c r="F5" s="25">
        <f t="shared" ref="F5:R5" si="0">+F4</f>
        <v>30000</v>
      </c>
      <c r="G5" s="25">
        <f t="shared" si="0"/>
        <v>30000</v>
      </c>
      <c r="H5" s="25">
        <f t="shared" si="0"/>
        <v>30000</v>
      </c>
      <c r="I5" s="25">
        <f t="shared" si="0"/>
        <v>30000</v>
      </c>
      <c r="J5" s="25">
        <f t="shared" si="0"/>
        <v>30000</v>
      </c>
      <c r="K5" s="25">
        <f t="shared" si="0"/>
        <v>30000</v>
      </c>
      <c r="L5" s="25">
        <f t="shared" si="0"/>
        <v>30000</v>
      </c>
      <c r="M5" s="25">
        <f t="shared" si="0"/>
        <v>30000</v>
      </c>
      <c r="N5" s="25">
        <f t="shared" si="0"/>
        <v>30000</v>
      </c>
      <c r="O5" s="25">
        <f t="shared" si="0"/>
        <v>30000</v>
      </c>
      <c r="P5" s="25">
        <f t="shared" si="0"/>
        <v>30000</v>
      </c>
      <c r="Q5" s="25">
        <f t="shared" si="0"/>
        <v>30000</v>
      </c>
      <c r="R5" s="25">
        <f t="shared" si="0"/>
        <v>30000</v>
      </c>
    </row>
    <row r="6" spans="1:18" ht="29.1" customHeight="1">
      <c r="A6" s="22"/>
      <c r="B6" s="22"/>
      <c r="C6" s="22" t="s">
        <v>1</v>
      </c>
      <c r="D6" s="26" t="str">
        <f>+Prospetto!D6</f>
        <v>20 kW/h elettrici  --  
40 kW/h termici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29.1" customHeight="1">
      <c r="A7" s="22"/>
      <c r="B7" s="22"/>
      <c r="C7" s="22" t="s">
        <v>4</v>
      </c>
      <c r="D7" s="26">
        <f>+Prospetto!E17</f>
        <v>178620</v>
      </c>
      <c r="E7" s="26">
        <v>20000</v>
      </c>
      <c r="F7" s="26">
        <v>20000</v>
      </c>
      <c r="G7" s="26">
        <v>20000</v>
      </c>
      <c r="H7" s="26">
        <v>20000</v>
      </c>
      <c r="I7" s="26">
        <v>20000</v>
      </c>
      <c r="J7" s="26">
        <v>20000</v>
      </c>
      <c r="K7" s="26">
        <v>20000</v>
      </c>
      <c r="L7" s="26">
        <v>20000</v>
      </c>
      <c r="M7" s="26">
        <v>20000</v>
      </c>
      <c r="N7" s="26">
        <v>20000</v>
      </c>
      <c r="O7" s="26">
        <v>20000</v>
      </c>
      <c r="P7" s="26">
        <v>20000</v>
      </c>
      <c r="Q7" s="26">
        <v>20000</v>
      </c>
      <c r="R7" s="26">
        <v>10000</v>
      </c>
    </row>
    <row r="8" spans="1:18" ht="29.1" customHeight="1">
      <c r="A8" s="24"/>
      <c r="B8" s="24" t="s">
        <v>3</v>
      </c>
      <c r="C8" s="22"/>
      <c r="D8" s="25" t="e">
        <f>D6+D7</f>
        <v>#VALUE!</v>
      </c>
      <c r="E8" s="25">
        <f t="shared" ref="E8:R8" si="1">E6+E7</f>
        <v>20000</v>
      </c>
      <c r="F8" s="25">
        <f t="shared" si="1"/>
        <v>20000</v>
      </c>
      <c r="G8" s="25">
        <f t="shared" si="1"/>
        <v>20000</v>
      </c>
      <c r="H8" s="25">
        <f t="shared" si="1"/>
        <v>20000</v>
      </c>
      <c r="I8" s="25">
        <f t="shared" si="1"/>
        <v>20000</v>
      </c>
      <c r="J8" s="25">
        <f t="shared" si="1"/>
        <v>20000</v>
      </c>
      <c r="K8" s="25">
        <f t="shared" si="1"/>
        <v>20000</v>
      </c>
      <c r="L8" s="25">
        <f t="shared" si="1"/>
        <v>20000</v>
      </c>
      <c r="M8" s="25">
        <f t="shared" si="1"/>
        <v>20000</v>
      </c>
      <c r="N8" s="25">
        <f t="shared" si="1"/>
        <v>20000</v>
      </c>
      <c r="O8" s="25">
        <f t="shared" si="1"/>
        <v>20000</v>
      </c>
      <c r="P8" s="25">
        <f t="shared" si="1"/>
        <v>20000</v>
      </c>
      <c r="Q8" s="25">
        <f t="shared" si="1"/>
        <v>20000</v>
      </c>
      <c r="R8" s="25">
        <f t="shared" si="1"/>
        <v>10000</v>
      </c>
    </row>
    <row r="9" spans="1:18" ht="29.1" customHeight="1">
      <c r="A9" s="24"/>
      <c r="B9" s="24" t="s">
        <v>5</v>
      </c>
      <c r="C9" s="22"/>
      <c r="D9" s="25" t="e">
        <f t="shared" ref="D9:R9" si="2">(D5)-(D8)</f>
        <v>#VALUE!</v>
      </c>
      <c r="E9" s="25">
        <f t="shared" si="2"/>
        <v>10000</v>
      </c>
      <c r="F9" s="25">
        <f>(F5)-(F8)</f>
        <v>10000</v>
      </c>
      <c r="G9" s="25">
        <f t="shared" si="2"/>
        <v>10000</v>
      </c>
      <c r="H9" s="25">
        <f t="shared" si="2"/>
        <v>10000</v>
      </c>
      <c r="I9" s="25">
        <f t="shared" si="2"/>
        <v>10000</v>
      </c>
      <c r="J9" s="25">
        <f t="shared" si="2"/>
        <v>10000</v>
      </c>
      <c r="K9" s="25">
        <f t="shared" si="2"/>
        <v>10000</v>
      </c>
      <c r="L9" s="25">
        <f t="shared" si="2"/>
        <v>10000</v>
      </c>
      <c r="M9" s="25">
        <f t="shared" si="2"/>
        <v>10000</v>
      </c>
      <c r="N9" s="25">
        <f t="shared" si="2"/>
        <v>10000</v>
      </c>
      <c r="O9" s="25">
        <f t="shared" si="2"/>
        <v>10000</v>
      </c>
      <c r="P9" s="25">
        <f t="shared" si="2"/>
        <v>10000</v>
      </c>
      <c r="Q9" s="25">
        <f t="shared" si="2"/>
        <v>10000</v>
      </c>
      <c r="R9" s="25">
        <f t="shared" si="2"/>
        <v>20000</v>
      </c>
    </row>
    <row r="10" spans="1:18" ht="29.1" customHeight="1" thickBot="1">
      <c r="A10" s="28"/>
      <c r="B10" s="28"/>
      <c r="C10" s="28" t="s">
        <v>6</v>
      </c>
      <c r="D10" s="29"/>
      <c r="E10" s="29"/>
      <c r="F10" s="29"/>
      <c r="G10" s="30"/>
      <c r="H10" s="31" t="e">
        <f>IRR(D9:R9)</f>
        <v>#VALUE!</v>
      </c>
      <c r="I10" s="32"/>
      <c r="J10" s="32"/>
      <c r="K10" s="32"/>
      <c r="L10" s="32"/>
      <c r="M10" s="32"/>
      <c r="N10" s="30"/>
      <c r="O10" s="30"/>
      <c r="P10" s="30"/>
      <c r="Q10" s="30"/>
      <c r="R10" s="30"/>
    </row>
    <row r="11" spans="1:18" ht="29.1" customHeight="1" thickTop="1" thickBot="1">
      <c r="A11" s="28"/>
      <c r="B11" s="28"/>
      <c r="C11" s="28" t="s">
        <v>7</v>
      </c>
      <c r="D11" s="28"/>
      <c r="E11" s="28"/>
      <c r="F11" s="28"/>
      <c r="H11" s="33" t="e">
        <f>NPV(0.05,D9:R9)</f>
        <v>#VALUE!</v>
      </c>
      <c r="I11" s="21"/>
      <c r="J11" s="21"/>
      <c r="K11" s="21"/>
      <c r="L11" s="21"/>
      <c r="M11" s="21"/>
    </row>
    <row r="12" spans="1:18" ht="29.1" customHeight="1" thickTop="1"/>
    <row r="13" spans="1:18" ht="29.1" customHeight="1">
      <c r="D13" s="3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EDDB6-FC8E-6E4E-8406-FAAA9603F97C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76031-ABA5-2C4C-A84E-6B276C0D0295}">
  <dimension ref="A1:D33"/>
  <sheetViews>
    <sheetView topLeftCell="A4" workbookViewId="0">
      <selection activeCell="D15" sqref="D15"/>
    </sheetView>
  </sheetViews>
  <sheetFormatPr defaultColWidth="10.85546875" defaultRowHeight="15"/>
  <cols>
    <col min="1" max="1" width="41" style="61" bestFit="1" customWidth="1"/>
    <col min="2" max="2" width="23.28515625" style="62" bestFit="1" customWidth="1"/>
    <col min="3" max="3" width="16.28515625" style="63" customWidth="1"/>
    <col min="4" max="4" width="91.140625" style="11" customWidth="1"/>
    <col min="5" max="16384" width="10.85546875" style="11"/>
  </cols>
  <sheetData>
    <row r="1" spans="1:4" ht="16.5" thickBot="1">
      <c r="A1" s="51" t="s">
        <v>24</v>
      </c>
      <c r="B1" s="52"/>
      <c r="C1" s="53"/>
    </row>
    <row r="2" spans="1:4" ht="16.5" thickBot="1">
      <c r="A2" s="54" t="s">
        <v>15</v>
      </c>
      <c r="B2" s="55" t="s">
        <v>9</v>
      </c>
      <c r="C2" s="56" t="s">
        <v>16</v>
      </c>
      <c r="D2" s="57" t="s">
        <v>36</v>
      </c>
    </row>
    <row r="3" spans="1:4" ht="31.5">
      <c r="A3" s="58" t="s">
        <v>65</v>
      </c>
      <c r="B3" s="59" t="s">
        <v>41</v>
      </c>
      <c r="C3" s="60">
        <v>48.4</v>
      </c>
      <c r="D3" s="11" t="s">
        <v>40</v>
      </c>
    </row>
    <row r="4" spans="1:4" ht="15.75">
      <c r="A4" s="58" t="s">
        <v>66</v>
      </c>
      <c r="B4" s="59" t="s">
        <v>41</v>
      </c>
      <c r="C4" s="60">
        <v>34</v>
      </c>
      <c r="D4" s="11" t="s">
        <v>40</v>
      </c>
    </row>
    <row r="5" spans="1:4" ht="15.75">
      <c r="A5" s="58" t="s">
        <v>67</v>
      </c>
      <c r="B5" s="59" t="s">
        <v>41</v>
      </c>
      <c r="C5" s="60">
        <v>62</v>
      </c>
      <c r="D5" s="11" t="s">
        <v>40</v>
      </c>
    </row>
    <row r="6" spans="1:4" ht="15.75">
      <c r="A6" s="58" t="s">
        <v>68</v>
      </c>
      <c r="B6" s="59" t="s">
        <v>41</v>
      </c>
      <c r="C6" s="60">
        <v>50</v>
      </c>
      <c r="D6" s="11" t="s">
        <v>40</v>
      </c>
    </row>
    <row r="7" spans="1:4" ht="15.75">
      <c r="A7" s="58" t="s">
        <v>69</v>
      </c>
      <c r="B7" s="59" t="s">
        <v>41</v>
      </c>
      <c r="C7" s="60">
        <v>40</v>
      </c>
    </row>
    <row r="8" spans="1:4" ht="15.75">
      <c r="A8" s="58" t="s">
        <v>11</v>
      </c>
      <c r="B8" s="59" t="s">
        <v>12</v>
      </c>
      <c r="C8" s="60">
        <v>1.5</v>
      </c>
      <c r="D8" s="41" t="s">
        <v>18</v>
      </c>
    </row>
    <row r="9" spans="1:4" ht="31.5">
      <c r="A9" s="58" t="s">
        <v>17</v>
      </c>
      <c r="B9" s="59" t="s">
        <v>12</v>
      </c>
      <c r="C9" s="60">
        <v>1.5</v>
      </c>
      <c r="D9" s="41" t="s">
        <v>18</v>
      </c>
    </row>
    <row r="10" spans="1:4" s="108" customFormat="1" ht="15.75">
      <c r="A10" s="58" t="s">
        <v>13</v>
      </c>
      <c r="B10" s="59" t="s">
        <v>10</v>
      </c>
      <c r="C10" s="107"/>
    </row>
    <row r="11" spans="1:4" ht="15.75">
      <c r="A11" s="58" t="s">
        <v>14</v>
      </c>
      <c r="B11" s="59" t="s">
        <v>10</v>
      </c>
      <c r="C11" s="60">
        <v>30</v>
      </c>
      <c r="D11" s="41" t="s">
        <v>37</v>
      </c>
    </row>
    <row r="12" spans="1:4" s="108" customFormat="1" ht="15.75">
      <c r="A12" s="58" t="s">
        <v>43</v>
      </c>
      <c r="B12" s="59" t="s">
        <v>19</v>
      </c>
      <c r="C12" s="109"/>
    </row>
    <row r="13" spans="1:4" s="108" customFormat="1" ht="27.95" customHeight="1">
      <c r="A13" s="58" t="s">
        <v>20</v>
      </c>
      <c r="B13" s="110" t="s">
        <v>21</v>
      </c>
      <c r="C13" s="109"/>
    </row>
    <row r="15" spans="1:4" ht="15.75" thickBot="1"/>
    <row r="16" spans="1:4" s="67" customFormat="1" ht="16.5" thickBot="1">
      <c r="A16" s="64" t="s">
        <v>30</v>
      </c>
      <c r="B16" s="65" t="s">
        <v>34</v>
      </c>
      <c r="C16" s="66" t="s">
        <v>35</v>
      </c>
    </row>
    <row r="17" spans="1:4" ht="31.5">
      <c r="A17" s="68" t="s">
        <v>26</v>
      </c>
      <c r="B17" s="69"/>
      <c r="C17" s="70"/>
      <c r="D17" s="41" t="s">
        <v>38</v>
      </c>
    </row>
    <row r="18" spans="1:4" ht="15.75">
      <c r="A18" s="71" t="s">
        <v>39</v>
      </c>
      <c r="B18" s="72"/>
      <c r="C18" s="73"/>
    </row>
    <row r="19" spans="1:4" ht="31.5">
      <c r="A19" s="71" t="s">
        <v>44</v>
      </c>
      <c r="B19" s="73"/>
      <c r="C19" s="73"/>
    </row>
    <row r="20" spans="1:4" ht="15" customHeight="1">
      <c r="A20" s="71"/>
      <c r="B20" s="73"/>
      <c r="C20" s="73"/>
    </row>
    <row r="21" spans="1:4" ht="15.75">
      <c r="A21" s="71" t="s">
        <v>27</v>
      </c>
      <c r="B21" s="73">
        <f>+SUM(B17:B20)</f>
        <v>0</v>
      </c>
      <c r="C21" s="73">
        <f t="shared" ref="C21" si="0">+SUM(C17:C20)</f>
        <v>0</v>
      </c>
    </row>
    <row r="24" spans="1:4" ht="15.75">
      <c r="A24" s="74"/>
    </row>
    <row r="25" spans="1:4" ht="15.75">
      <c r="A25" s="74"/>
    </row>
    <row r="27" spans="1:4">
      <c r="A27" s="11"/>
      <c r="B27" s="75"/>
      <c r="C27" s="76"/>
      <c r="D27" s="77"/>
    </row>
    <row r="28" spans="1:4">
      <c r="B28" s="75"/>
      <c r="C28" s="76"/>
      <c r="D28" s="78"/>
    </row>
    <row r="29" spans="1:4">
      <c r="B29" s="75"/>
      <c r="C29" s="76"/>
      <c r="D29" s="77"/>
    </row>
    <row r="30" spans="1:4">
      <c r="B30" s="75"/>
      <c r="C30" s="76"/>
      <c r="D30" s="77"/>
    </row>
    <row r="33" spans="1:1">
      <c r="A33" s="11"/>
    </row>
  </sheetData>
  <dataValidations disablePrompts="1" count="1">
    <dataValidation type="whole" allowBlank="1" showInputMessage="1" showErrorMessage="1" sqref="A16" xr:uid="{20D09E93-433E-2344-840D-257011248E6D}">
      <formula1>0</formula1>
      <formula2>100</formula2>
    </dataValidation>
  </dataValidations>
  <hyperlinks>
    <hyperlink ref="D8" r:id="rId1" xr:uid="{A7D51DD4-51BB-654B-9FE3-D80C2807344F}"/>
    <hyperlink ref="D9" r:id="rId2" xr:uid="{3CECB660-2BA9-A24D-8944-05E6ECE15294}"/>
    <hyperlink ref="D11" r:id="rId3" xr:uid="{BD97078A-694C-A04C-ABE6-5EFE58D5A1CC}"/>
    <hyperlink ref="D17" r:id="rId4" display="https://www.mingjiegroup.com/products/Tire_plastic_Pyrolysis_Plant.html?_gl=1*178m07f*_up*MQ..*_ga*MTA5MDY1NzQzMi4xNzQxMTc1MzQ5*_ga_CKV6FB6W3S*MTc0MTE3NTM0OC4xLjAuMTc0MTE3NTM0OC4wLjAuMA..&amp;gclid=CjwKCAiAiaC-BhBEEiwAjY99qF4pXlE9uatMuHaQzp1wrMn342UtWtHR_OHzKAr12CHPEYdDzqeSIBoCDBQQAvD_BwE" xr:uid="{15C48C21-12C5-D646-B709-0FD37F12AAED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551B7-E652-6B48-AD26-3BA7D1438D7B}">
  <dimension ref="A1:B56"/>
  <sheetViews>
    <sheetView workbookViewId="0">
      <selection activeCell="A2" sqref="A2"/>
    </sheetView>
  </sheetViews>
  <sheetFormatPr defaultColWidth="11.42578125" defaultRowHeight="15"/>
  <sheetData>
    <row r="1" spans="1:2">
      <c r="A1" t="s">
        <v>74</v>
      </c>
      <c r="B1">
        <v>10</v>
      </c>
    </row>
    <row r="2" spans="1:2">
      <c r="B2">
        <v>20</v>
      </c>
    </row>
    <row r="3" spans="1:2">
      <c r="B3">
        <v>30</v>
      </c>
    </row>
    <row r="4" spans="1:2">
      <c r="B4">
        <v>50</v>
      </c>
    </row>
    <row r="5" spans="1:2">
      <c r="B5">
        <v>70</v>
      </c>
    </row>
    <row r="6" spans="1:2">
      <c r="B6">
        <v>100</v>
      </c>
    </row>
    <row r="7" spans="1:2">
      <c r="B7">
        <v>150</v>
      </c>
    </row>
    <row r="8" spans="1:2">
      <c r="B8">
        <v>200</v>
      </c>
    </row>
    <row r="9" spans="1:2">
      <c r="B9">
        <v>250</v>
      </c>
    </row>
    <row r="10" spans="1:2">
      <c r="B10">
        <v>300</v>
      </c>
    </row>
    <row r="11" spans="1:2">
      <c r="B11">
        <v>350</v>
      </c>
    </row>
    <row r="12" spans="1:2">
      <c r="B12">
        <v>400</v>
      </c>
    </row>
    <row r="13" spans="1:2">
      <c r="B13">
        <v>450</v>
      </c>
    </row>
    <row r="14" spans="1:2">
      <c r="B14">
        <v>500</v>
      </c>
    </row>
    <row r="15" spans="1:2">
      <c r="B15">
        <v>550</v>
      </c>
    </row>
    <row r="16" spans="1:2">
      <c r="B16">
        <v>600</v>
      </c>
    </row>
    <row r="17" spans="2:2">
      <c r="B17">
        <v>650</v>
      </c>
    </row>
    <row r="18" spans="2:2">
      <c r="B18">
        <v>700</v>
      </c>
    </row>
    <row r="19" spans="2:2">
      <c r="B19">
        <v>750</v>
      </c>
    </row>
    <row r="20" spans="2:2">
      <c r="B20">
        <v>800</v>
      </c>
    </row>
    <row r="21" spans="2:2">
      <c r="B21">
        <v>850</v>
      </c>
    </row>
    <row r="22" spans="2:2">
      <c r="B22">
        <v>900</v>
      </c>
    </row>
    <row r="23" spans="2:2">
      <c r="B23">
        <v>950</v>
      </c>
    </row>
    <row r="24" spans="2:2">
      <c r="B24">
        <v>1000</v>
      </c>
    </row>
    <row r="25" spans="2:2">
      <c r="B25">
        <v>1050</v>
      </c>
    </row>
    <row r="26" spans="2:2">
      <c r="B26">
        <v>1100</v>
      </c>
    </row>
    <row r="27" spans="2:2">
      <c r="B27">
        <v>1150</v>
      </c>
    </row>
    <row r="28" spans="2:2">
      <c r="B28">
        <v>1200</v>
      </c>
    </row>
    <row r="29" spans="2:2">
      <c r="B29">
        <v>1250</v>
      </c>
    </row>
    <row r="30" spans="2:2">
      <c r="B30">
        <v>1300</v>
      </c>
    </row>
    <row r="33" spans="1:2">
      <c r="A33" t="s">
        <v>23</v>
      </c>
      <c r="B33">
        <v>1</v>
      </c>
    </row>
    <row r="34" spans="1:2">
      <c r="B34">
        <v>2</v>
      </c>
    </row>
    <row r="35" spans="1:2">
      <c r="B35">
        <v>3</v>
      </c>
    </row>
    <row r="36" spans="1:2">
      <c r="B36">
        <v>4</v>
      </c>
    </row>
    <row r="37" spans="1:2">
      <c r="B37">
        <v>5</v>
      </c>
    </row>
    <row r="38" spans="1:2">
      <c r="B38">
        <v>6</v>
      </c>
    </row>
    <row r="39" spans="1:2">
      <c r="B39">
        <v>7</v>
      </c>
    </row>
    <row r="40" spans="1:2">
      <c r="B40">
        <v>8</v>
      </c>
    </row>
    <row r="41" spans="1:2">
      <c r="B41">
        <v>9</v>
      </c>
    </row>
    <row r="42" spans="1:2">
      <c r="B42">
        <v>10</v>
      </c>
    </row>
    <row r="43" spans="1:2">
      <c r="B43">
        <v>11</v>
      </c>
    </row>
    <row r="44" spans="1:2">
      <c r="B44">
        <v>12</v>
      </c>
    </row>
    <row r="45" spans="1:2">
      <c r="B45">
        <v>13</v>
      </c>
    </row>
    <row r="46" spans="1:2">
      <c r="B46">
        <v>14</v>
      </c>
    </row>
    <row r="47" spans="1:2">
      <c r="B47">
        <v>15</v>
      </c>
    </row>
    <row r="48" spans="1:2">
      <c r="B48">
        <v>16</v>
      </c>
    </row>
    <row r="49" spans="2:2">
      <c r="B49">
        <v>17</v>
      </c>
    </row>
    <row r="50" spans="2:2">
      <c r="B50">
        <v>18</v>
      </c>
    </row>
    <row r="51" spans="2:2">
      <c r="B51">
        <v>19</v>
      </c>
    </row>
    <row r="52" spans="2:2">
      <c r="B52">
        <v>20</v>
      </c>
    </row>
    <row r="53" spans="2:2">
      <c r="B53">
        <v>21</v>
      </c>
    </row>
    <row r="54" spans="2:2">
      <c r="B54">
        <v>22</v>
      </c>
    </row>
    <row r="55" spans="2:2">
      <c r="B55">
        <v>23</v>
      </c>
    </row>
    <row r="56" spans="2:2">
      <c r="B56">
        <v>24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3b55eef-7018-4674-a3d7-cc0db06d545c}" enabled="0" method="" siteId="{13b55eef-7018-4674-a3d7-cc0db06d545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Prospetto</vt:lpstr>
      <vt:lpstr>Capital Exp</vt:lpstr>
      <vt:lpstr>VAN 1</vt:lpstr>
      <vt:lpstr>Foglio1</vt:lpstr>
      <vt:lpstr>Operation Exp</vt:lpstr>
      <vt:lpstr>Ranges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Sali</dc:creator>
  <cp:lastModifiedBy>Alberto  Tosca</cp:lastModifiedBy>
  <cp:lastPrinted>2018-01-09T21:38:35Z</cp:lastPrinted>
  <dcterms:created xsi:type="dcterms:W3CDTF">2013-06-20T15:04:24Z</dcterms:created>
  <dcterms:modified xsi:type="dcterms:W3CDTF">2025-05-07T11:01:08Z</dcterms:modified>
</cp:coreProperties>
</file>